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Attila\Documents\ET\Egyéb\"/>
    </mc:Choice>
  </mc:AlternateContent>
  <xr:revisionPtr revIDLastSave="0" documentId="13_ncr:1_{8DEB30CB-F00B-4028-AAA5-A1475AC652EE}" xr6:coauthVersionLast="36" xr6:coauthVersionMax="36" xr10:uidLastSave="{00000000-0000-0000-0000-000000000000}"/>
  <bookViews>
    <workbookView xWindow="0" yWindow="0" windowWidth="27940" windowHeight="1198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B39" i="1"/>
  <c r="G38" i="1"/>
  <c r="L56" i="1"/>
  <c r="L55" i="1"/>
  <c r="L61" i="1"/>
  <c r="I37" i="1"/>
  <c r="G37" i="1"/>
  <c r="C36" i="1"/>
  <c r="V16" i="1"/>
  <c r="V15" i="1"/>
  <c r="V14" i="1"/>
  <c r="V17" i="1"/>
  <c r="L46" i="1"/>
  <c r="L45" i="1"/>
  <c r="I25" i="1"/>
  <c r="I23" i="1"/>
  <c r="R13" i="1"/>
  <c r="U14" i="1"/>
  <c r="U15" i="1"/>
  <c r="U16" i="1"/>
  <c r="U17" i="1"/>
  <c r="R25" i="1"/>
  <c r="R23" i="1"/>
  <c r="R19" i="1"/>
  <c r="R31" i="1"/>
  <c r="R29" i="1"/>
  <c r="R27" i="1"/>
  <c r="R21" i="1"/>
  <c r="R17" i="1"/>
  <c r="R15" i="1"/>
  <c r="H38" i="1" l="1"/>
  <c r="R32" i="1"/>
  <c r="C35" i="1" s="1"/>
  <c r="AC12" i="1"/>
  <c r="AC30" i="1" s="1"/>
  <c r="AB30" i="1"/>
  <c r="AA30" i="1"/>
  <c r="Q33" i="1" l="1"/>
  <c r="R33" i="1" s="1"/>
  <c r="H33" i="1" s="1"/>
</calcChain>
</file>

<file path=xl/sharedStrings.xml><?xml version="1.0" encoding="utf-8"?>
<sst xmlns="http://schemas.openxmlformats.org/spreadsheetml/2006/main" count="905" uniqueCount="131">
  <si>
    <t>fűtés</t>
  </si>
  <si>
    <t>melegvíz</t>
  </si>
  <si>
    <t>padlás</t>
  </si>
  <si>
    <t>lakás</t>
  </si>
  <si>
    <t>családi ház</t>
  </si>
  <si>
    <t>AA++</t>
  </si>
  <si>
    <t>CC</t>
  </si>
  <si>
    <t>DD</t>
  </si>
  <si>
    <t>EE</t>
  </si>
  <si>
    <t>FF</t>
  </si>
  <si>
    <t>GG</t>
  </si>
  <si>
    <t>HH</t>
  </si>
  <si>
    <t>II</t>
  </si>
  <si>
    <t>JJ</t>
  </si>
  <si>
    <t>igen, nagymértékben</t>
  </si>
  <si>
    <t>igen, kismértékben</t>
  </si>
  <si>
    <t>nem</t>
  </si>
  <si>
    <t>Fűtött terület:</t>
  </si>
  <si>
    <t>Belmagasság:</t>
  </si>
  <si>
    <t>Építés éve:</t>
  </si>
  <si>
    <t>Falazat típusa:</t>
  </si>
  <si>
    <t>Hőszigetelés vastagsága:</t>
  </si>
  <si>
    <t>Nyílászárók beépítésének éve:</t>
  </si>
  <si>
    <t>Az ingatlan típusa:</t>
  </si>
  <si>
    <t>Födém:</t>
  </si>
  <si>
    <t>Padló:</t>
  </si>
  <si>
    <t>Fűtési rendszer:</t>
  </si>
  <si>
    <t>Melegvízet előállító rendszer:</t>
  </si>
  <si>
    <t>Hőszigetelés vstg</t>
  </si>
  <si>
    <t>Nyílászárók beép éve:</t>
  </si>
  <si>
    <t>átlagosan 2,4 m alatt</t>
  </si>
  <si>
    <t>átlagosan 3,0 m felett</t>
  </si>
  <si>
    <t>átlagosan 2,4 és 3,0 m között</t>
  </si>
  <si>
    <t>1950 előtt</t>
  </si>
  <si>
    <t>1950 és 1970 között</t>
  </si>
  <si>
    <t>2010 után</t>
  </si>
  <si>
    <t>panel</t>
  </si>
  <si>
    <t>könnyűszerkezetes</t>
  </si>
  <si>
    <t>vályogtégla</t>
  </si>
  <si>
    <t>5-8 cm</t>
  </si>
  <si>
    <t>9-13 cm</t>
  </si>
  <si>
    <t>14-20 cm</t>
  </si>
  <si>
    <t>21 cm felett</t>
  </si>
  <si>
    <t>4 cm alatt</t>
  </si>
  <si>
    <t>1980 előtt</t>
  </si>
  <si>
    <t>1970 és 1980 között</t>
  </si>
  <si>
    <t>1980 és 1990 között</t>
  </si>
  <si>
    <t>1990 és 2000 között</t>
  </si>
  <si>
    <t>2000 és 2010 között</t>
  </si>
  <si>
    <t>ha függvény fog kelleni</t>
  </si>
  <si>
    <t>talajon fekvő padló</t>
  </si>
  <si>
    <t>részben alápincézett</t>
  </si>
  <si>
    <t>teljesen alápincézett</t>
  </si>
  <si>
    <t>Melegvizet előállító rendszer:</t>
  </si>
  <si>
    <t>nincs hőszigetelés</t>
  </si>
  <si>
    <t>régi (tömör) tégla falazat (pl. B30-as tégla)</t>
  </si>
  <si>
    <t>szorzó</t>
  </si>
  <si>
    <t>kérjük válasszon…</t>
  </si>
  <si>
    <t>tető, lapostető</t>
  </si>
  <si>
    <t>házközponti gázkazán</t>
  </si>
  <si>
    <t>gázkazán (1990 előtti)</t>
  </si>
  <si>
    <t>gázkazán (1990 és 2000 közötti)</t>
  </si>
  <si>
    <t>gázkazán (2000 utáni)</t>
  </si>
  <si>
    <t>kondenzációs gázkazán</t>
  </si>
  <si>
    <t>gázkonvektor, cserépkályha</t>
  </si>
  <si>
    <t>fatüzelésű kazán</t>
  </si>
  <si>
    <t>távhő</t>
  </si>
  <si>
    <t>kombi kazán</t>
  </si>
  <si>
    <t>villanybojler</t>
  </si>
  <si>
    <t>gázbojler</t>
  </si>
  <si>
    <t>átfolyós gáz vízmelegítő</t>
  </si>
  <si>
    <t>Megújuló</t>
  </si>
  <si>
    <t>Használ-e megújuló energiaforrást?</t>
  </si>
  <si>
    <t>összesen</t>
  </si>
  <si>
    <t>minden adatot!</t>
  </si>
  <si>
    <t>K</t>
  </si>
  <si>
    <t>fal+hőszig</t>
  </si>
  <si>
    <t>nyílászáró</t>
  </si>
  <si>
    <t>padló</t>
  </si>
  <si>
    <t>födém</t>
  </si>
  <si>
    <t>megújuló</t>
  </si>
  <si>
    <t>az ingatlan építésének körülbelüli éve</t>
  </si>
  <si>
    <t>a jelenleg bent lévő nyílászárók beépítésének éve, ha többféle van, akkor a leggyakoribb értéket adjuk meg</t>
  </si>
  <si>
    <t>ha a falazaton található hőszigetelés, akkor annak körülbelüli vastagságát itt adjuk meg</t>
  </si>
  <si>
    <t>az ingatlan falazatának anyaga (többféle falazat esetén a nagyobb mértékben előfordulót jelöljük)</t>
  </si>
  <si>
    <t>adjuk meg, melyik állítás igaz leginkább a padlóra</t>
  </si>
  <si>
    <t>adjuk meg, melyik állítás igaz leginkább a födémre</t>
  </si>
  <si>
    <t>fűtési szezonban mi állítja elő a meleget?</t>
  </si>
  <si>
    <t>mi állítja elő a melegvizet?</t>
  </si>
  <si>
    <t>megújuló energiaforrás pl. a napenergia, amit hasznosíthatunk napelemmel, napkollektorral</t>
  </si>
  <si>
    <t>a tanúsítandó ingatlan körülbelüli fűtött területe</t>
  </si>
  <si>
    <t>új (soklyukú) tégla falazat (pl. Porotherm 30)</t>
  </si>
  <si>
    <r>
      <t>m</t>
    </r>
    <r>
      <rPr>
        <b/>
        <vertAlign val="superscript"/>
        <sz val="11"/>
        <color rgb="FF8A2A2A"/>
        <rFont val="Calibri"/>
        <family val="2"/>
        <charset val="238"/>
        <scheme val="minor"/>
      </rPr>
      <t>2</t>
    </r>
  </si>
  <si>
    <t>Energetikai Tanúsítvány Kalkulátor</t>
  </si>
  <si>
    <t>121 - 160</t>
  </si>
  <si>
    <t>161 - 200</t>
  </si>
  <si>
    <t>201 - 300</t>
  </si>
  <si>
    <t>a belmagasság körülbelüli értéke</t>
  </si>
  <si>
    <t>Az ingatlan energetikai besorolása:</t>
  </si>
  <si>
    <t xml:space="preserve">- Korszerű </t>
  </si>
  <si>
    <t>- Korszerűt megközelítő</t>
  </si>
  <si>
    <t>- Átlagosnál jobb</t>
  </si>
  <si>
    <t>- Átlagos</t>
  </si>
  <si>
    <t>- Átlagost megközelítő</t>
  </si>
  <si>
    <t>- Gyenge</t>
  </si>
  <si>
    <t>- Rossz</t>
  </si>
  <si>
    <t>- Kiemelkedően Rossz</t>
  </si>
  <si>
    <r>
      <rPr>
        <b/>
        <i/>
        <sz val="11"/>
        <color theme="1"/>
        <rFont val="Calibri"/>
        <family val="2"/>
        <charset val="238"/>
        <scheme val="minor"/>
      </rPr>
      <t>Kitöltési útmutató:</t>
    </r>
    <r>
      <rPr>
        <i/>
        <sz val="11"/>
        <color theme="1"/>
        <rFont val="Calibri"/>
        <family val="2"/>
        <charset val="238"/>
        <scheme val="minor"/>
      </rPr>
      <t xml:space="preserve"> a fehér mezőkbe kattintva a mező jobb oldalán megjelenik egy lefelé mutató kis nyíl. Erre a nyílra kattintva előjön egy legördülő menü, amiből válasszuk ki az ingatlanunkra leginkább jellemző sort. A Kalkulátort több tízezer kiszámolt, hitelesített tanúsítvány tapasztalatával készítettük, azonban így is kérjük, mindenképp tartsa szem előtt, hogy ez csak egy körülbelüli besorolást ad az ingatlanról, hiszen a bemenő adatok is csak körülbelüliek!</t>
    </r>
  </si>
  <si>
    <t>Budapesten</t>
  </si>
  <si>
    <t>az ország más területén</t>
  </si>
  <si>
    <t>bp, lakás</t>
  </si>
  <si>
    <t>bp, családi</t>
  </si>
  <si>
    <t>23.990,- Ft</t>
  </si>
  <si>
    <t>o, lakás</t>
  </si>
  <si>
    <t>o, családi</t>
  </si>
  <si>
    <t>hányadik oszlopban keressek</t>
  </si>
  <si>
    <t>25.990,- Ft</t>
  </si>
  <si>
    <t>27.990,- Ft</t>
  </si>
  <si>
    <t>29.990,- Ft</t>
  </si>
  <si>
    <t>alul fűtött lakás van</t>
  </si>
  <si>
    <t>felül fűtött lakás van</t>
  </si>
  <si>
    <t>26.990,- Ft</t>
  </si>
  <si>
    <t>31.990,- Ft</t>
  </si>
  <si>
    <t>28.990,- Ft</t>
  </si>
  <si>
    <t>30.990,- Ft</t>
  </si>
  <si>
    <t>33.990,- Ft</t>
  </si>
  <si>
    <t>21.990,- Ft</t>
  </si>
  <si>
    <t>32.990,- Ft</t>
  </si>
  <si>
    <t>34.990,- Ft</t>
  </si>
  <si>
    <t>36.990,- Ft</t>
  </si>
  <si>
    <t>38.990,-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</si>
</sst>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8A2A2A"/>
      <name val="Calibri"/>
      <family val="2"/>
      <charset val="238"/>
      <scheme val="minor"/>
    </font>
    <font>
      <b/>
      <vertAlign val="superscript"/>
      <sz val="11"/>
      <color rgb="FF8A2A2A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8A2A2A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8A2A2A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u/>
      <sz val="12"/>
      <color rgb="FF8A2A2A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0"/>
      <color rgb="FF8A2A2A"/>
      <name val="Calibri"/>
      <family val="2"/>
      <charset val="238"/>
      <scheme val="minor"/>
    </font>
    <font>
      <sz val="11"/>
      <color rgb="FFBDE9BD"/>
      <name val="Calibri"/>
      <family val="2"/>
      <charset val="238"/>
      <scheme val="minor"/>
    </font>
    <font>
      <sz val="12"/>
      <color rgb="FFBDE9BD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BDE9BD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 applyBorder="1"/>
    <xf numFmtId="0" fontId="7" fillId="3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5" xfId="0" applyFill="1" applyBorder="1"/>
    <xf numFmtId="0" fontId="0" fillId="3" borderId="6" xfId="0" applyFill="1" applyBorder="1"/>
    <xf numFmtId="0" fontId="7" fillId="2" borderId="0" xfId="0" applyFont="1" applyFill="1" applyBorder="1" applyAlignment="1">
      <alignment horizontal="center" vertical="center"/>
    </xf>
    <xf numFmtId="0" fontId="0" fillId="3" borderId="9" xfId="0" applyFill="1" applyBorder="1"/>
    <xf numFmtId="0" fontId="0" fillId="4" borderId="0" xfId="0" applyFill="1"/>
    <xf numFmtId="0" fontId="10" fillId="4" borderId="0" xfId="0" applyFont="1" applyFill="1" applyAlignment="1">
      <alignment wrapText="1"/>
    </xf>
    <xf numFmtId="0" fontId="16" fillId="4" borderId="0" xfId="0" applyFont="1" applyFill="1"/>
    <xf numFmtId="9" fontId="16" fillId="4" borderId="0" xfId="0" applyNumberFormat="1" applyFont="1" applyFill="1"/>
    <xf numFmtId="49" fontId="16" fillId="4" borderId="0" xfId="0" applyNumberFormat="1" applyFont="1" applyFill="1"/>
    <xf numFmtId="0" fontId="16" fillId="4" borderId="0" xfId="0" applyNumberFormat="1" applyFont="1" applyFill="1"/>
    <xf numFmtId="0" fontId="17" fillId="4" borderId="0" xfId="0" applyFont="1" applyFill="1" applyAlignment="1">
      <alignment wrapText="1"/>
    </xf>
    <xf numFmtId="0" fontId="16" fillId="4" borderId="0" xfId="0" applyFont="1" applyFill="1" applyAlignment="1">
      <alignment horizontal="left"/>
    </xf>
    <xf numFmtId="0" fontId="16" fillId="4" borderId="0" xfId="0" applyFont="1" applyFill="1" applyAlignment="1">
      <alignment horizontal="right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/>
    <xf numFmtId="0" fontId="18" fillId="0" borderId="0" xfId="0" applyFont="1"/>
    <xf numFmtId="0" fontId="7" fillId="2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19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E9BD"/>
      <color rgb="FF339933"/>
      <color rgb="FF99FF33"/>
      <color rgb="FF6DFF85"/>
      <color rgb="FFEAEAEA"/>
      <color rgb="FFD3D3D3"/>
      <color rgb="FF8A2A2A"/>
      <color rgb="FFAD3535"/>
      <color rgb="FFD1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41502</xdr:colOff>
      <xdr:row>1</xdr:row>
      <xdr:rowOff>39461</xdr:rowOff>
    </xdr:from>
    <xdr:to>
      <xdr:col>4</xdr:col>
      <xdr:colOff>249147</xdr:colOff>
      <xdr:row>4</xdr:row>
      <xdr:rowOff>132460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302" y="11869511"/>
          <a:ext cx="2028825" cy="685454"/>
        </a:xfrm>
        <a:prstGeom prst="rect">
          <a:avLst/>
        </a:prstGeom>
      </xdr:spPr>
    </xdr:pic>
    <xdr:clientData/>
  </xdr:twoCellAnchor>
  <xdr:twoCellAnchor editAs="oneCell">
    <xdr:from>
      <xdr:col>10</xdr:col>
      <xdr:colOff>370818</xdr:colOff>
      <xdr:row>1</xdr:row>
      <xdr:rowOff>40423</xdr:rowOff>
    </xdr:from>
    <xdr:to>
      <xdr:col>13</xdr:col>
      <xdr:colOff>570843</xdr:colOff>
      <xdr:row>4</xdr:row>
      <xdr:rowOff>133320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2740" y="240819"/>
          <a:ext cx="2025856" cy="685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2"/>
  <sheetViews>
    <sheetView tabSelected="1" zoomScaleNormal="100" workbookViewId="0">
      <selection activeCell="H10" sqref="H10"/>
    </sheetView>
  </sheetViews>
  <sheetFormatPr defaultRowHeight="14.5" x14ac:dyDescent="0.35"/>
  <cols>
    <col min="1" max="1" width="3.54296875" style="17" customWidth="1"/>
    <col min="5" max="5" width="9.1796875" customWidth="1"/>
    <col min="8" max="8" width="39.7265625" customWidth="1"/>
    <col min="10" max="10" width="9.1796875" customWidth="1"/>
    <col min="15" max="37" width="9.1796875" style="17"/>
  </cols>
  <sheetData>
    <row r="1" spans="2:33" s="17" customFormat="1" x14ac:dyDescent="0.35"/>
    <row r="2" spans="2:33" ht="15.75" customHeight="1" x14ac:dyDescent="0.35">
      <c r="B2" s="35" t="s">
        <v>93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2:33" ht="15" customHeight="1" x14ac:dyDescent="0.3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</row>
    <row r="4" spans="2:33" ht="15" customHeight="1" x14ac:dyDescent="0.35"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2:33" ht="15" customHeight="1" x14ac:dyDescent="0.3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2:33" x14ac:dyDescent="0.35">
      <c r="B6" s="11"/>
      <c r="C6" s="45" t="s">
        <v>107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12"/>
    </row>
    <row r="7" spans="2:33" ht="15" customHeight="1" x14ac:dyDescent="0.35">
      <c r="B7" s="1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2"/>
    </row>
    <row r="8" spans="2:33" ht="15" customHeight="1" x14ac:dyDescent="0.35">
      <c r="B8" s="1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2"/>
    </row>
    <row r="9" spans="2:33" x14ac:dyDescent="0.35">
      <c r="B9" s="1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12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2:33" ht="15.5" x14ac:dyDescent="0.35">
      <c r="B10" s="13"/>
      <c r="C10" s="1"/>
      <c r="D10" s="1"/>
      <c r="E10" s="1"/>
      <c r="F10" s="1"/>
      <c r="G10" s="2" t="s">
        <v>23</v>
      </c>
      <c r="H10" s="26" t="s">
        <v>57</v>
      </c>
      <c r="I10" s="1"/>
      <c r="J10" s="1"/>
      <c r="K10" s="1"/>
      <c r="L10" s="1"/>
      <c r="M10" s="1"/>
      <c r="N10" s="14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2:33" ht="16.5" x14ac:dyDescent="0.35">
      <c r="B11" s="11"/>
      <c r="C11" s="3"/>
      <c r="D11" s="3"/>
      <c r="E11" s="3"/>
      <c r="F11" s="44" t="s">
        <v>17</v>
      </c>
      <c r="G11" s="44"/>
      <c r="H11" s="26" t="s">
        <v>57</v>
      </c>
      <c r="I11" s="4" t="s">
        <v>92</v>
      </c>
      <c r="J11" s="33" t="str">
        <f>IF(OR(AND(H10="családi ház",H11="0 - 40"),AND(H10="családi ház",H11="41 - 120"),AND(H10="lakás",H11="0 - 80"),AND(H10="lakás",H11="81 - 120")),"Kérjük adja meg újra az ingatlan területét!","")</f>
        <v/>
      </c>
      <c r="K11" s="33"/>
      <c r="L11" s="33"/>
      <c r="M11" s="33"/>
      <c r="N11" s="12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0">
        <v>0.5</v>
      </c>
      <c r="AA11" s="19"/>
      <c r="AB11" s="19"/>
      <c r="AC11" s="19"/>
      <c r="AD11" s="19"/>
      <c r="AE11" s="19"/>
      <c r="AF11" s="19"/>
      <c r="AG11" s="19"/>
    </row>
    <row r="12" spans="2:33" x14ac:dyDescent="0.35">
      <c r="B12" s="11"/>
      <c r="C12" s="3"/>
      <c r="D12" s="3"/>
      <c r="E12" s="3"/>
      <c r="F12" s="44"/>
      <c r="G12" s="44"/>
      <c r="H12" s="5" t="s">
        <v>90</v>
      </c>
      <c r="I12" s="3"/>
      <c r="J12" s="33"/>
      <c r="K12" s="33"/>
      <c r="L12" s="33"/>
      <c r="M12" s="33"/>
      <c r="N12" s="12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 t="s">
        <v>76</v>
      </c>
      <c r="Z12" s="19">
        <v>30</v>
      </c>
      <c r="AA12" s="19">
        <v>7</v>
      </c>
      <c r="AB12" s="19">
        <v>16</v>
      </c>
      <c r="AC12" s="19">
        <f>AB12*2.5</f>
        <v>40</v>
      </c>
      <c r="AD12" s="19"/>
      <c r="AE12" s="19"/>
      <c r="AF12" s="19"/>
      <c r="AG12" s="19"/>
    </row>
    <row r="13" spans="2:33" x14ac:dyDescent="0.35">
      <c r="B13" s="13"/>
      <c r="C13" s="1"/>
      <c r="D13" s="1"/>
      <c r="E13" s="1"/>
      <c r="F13" s="34" t="s">
        <v>18</v>
      </c>
      <c r="G13" s="34"/>
      <c r="H13" s="26" t="s">
        <v>57</v>
      </c>
      <c r="I13" s="1"/>
      <c r="J13" s="1"/>
      <c r="K13" s="1"/>
      <c r="L13" s="1"/>
      <c r="M13" s="1"/>
      <c r="N13" s="14"/>
      <c r="O13" s="19"/>
      <c r="P13" s="19"/>
      <c r="Q13" s="19"/>
      <c r="R13" s="19">
        <f>VLOOKUP(H13,N44:O47,2,FALSE)</f>
        <v>0</v>
      </c>
      <c r="S13" s="19"/>
      <c r="T13" s="19">
        <v>0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2:33" x14ac:dyDescent="0.35">
      <c r="B14" s="13"/>
      <c r="C14" s="1"/>
      <c r="D14" s="1"/>
      <c r="E14" s="1"/>
      <c r="F14" s="34"/>
      <c r="G14" s="34"/>
      <c r="H14" s="6" t="s">
        <v>97</v>
      </c>
      <c r="I14" s="1"/>
      <c r="J14" s="1"/>
      <c r="K14" s="1"/>
      <c r="L14" s="1"/>
      <c r="M14" s="1"/>
      <c r="N14" s="14"/>
      <c r="O14" s="19"/>
      <c r="P14" s="19"/>
      <c r="Q14" s="19"/>
      <c r="R14" s="19"/>
      <c r="S14" s="19"/>
      <c r="T14" s="19">
        <v>0</v>
      </c>
      <c r="U14" s="19" t="str">
        <f>IF(H31="nem","CC","AA++")</f>
        <v>AA++</v>
      </c>
      <c r="V14" s="19" t="str">
        <f>IF(H31="nem","- Korszerű","- Minimális energiaigényű")</f>
        <v>- Minimális energiaigényű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2:33" x14ac:dyDescent="0.35">
      <c r="B15" s="11"/>
      <c r="C15" s="3"/>
      <c r="D15" s="3"/>
      <c r="E15" s="3"/>
      <c r="F15" s="44" t="s">
        <v>19</v>
      </c>
      <c r="G15" s="44"/>
      <c r="H15" s="26" t="s">
        <v>57</v>
      </c>
      <c r="I15" s="3"/>
      <c r="J15" s="3"/>
      <c r="K15" s="3"/>
      <c r="L15" s="3"/>
      <c r="M15" s="3"/>
      <c r="N15" s="12"/>
      <c r="O15" s="19"/>
      <c r="P15" s="19"/>
      <c r="Q15" s="19"/>
      <c r="R15" s="19">
        <f>VLOOKUP(H15,P44:Q51,2,FALSE)</f>
        <v>0</v>
      </c>
      <c r="S15" s="19"/>
      <c r="T15" s="19">
        <v>40</v>
      </c>
      <c r="U15" s="19" t="str">
        <f>IF(H31="nem","CC","AA+")</f>
        <v>AA+</v>
      </c>
      <c r="V15" s="19" t="str">
        <f>IF(H31="nem","- Korszerű","- Kiemelkedően nagy energiahatékonyságú")</f>
        <v>- Kiemelkedően nagy energiahatékonyságú</v>
      </c>
      <c r="W15" s="19"/>
      <c r="X15" s="19"/>
      <c r="Y15" s="19" t="s">
        <v>77</v>
      </c>
      <c r="Z15" s="19">
        <v>10</v>
      </c>
      <c r="AA15" s="19">
        <v>2</v>
      </c>
      <c r="AB15" s="19">
        <v>5</v>
      </c>
      <c r="AC15" s="19">
        <v>12</v>
      </c>
      <c r="AD15" s="19"/>
      <c r="AE15" s="19"/>
      <c r="AF15" s="19"/>
      <c r="AG15" s="19"/>
    </row>
    <row r="16" spans="2:33" x14ac:dyDescent="0.35">
      <c r="B16" s="11"/>
      <c r="C16" s="3"/>
      <c r="D16" s="3"/>
      <c r="E16" s="3"/>
      <c r="F16" s="44"/>
      <c r="G16" s="44"/>
      <c r="H16" s="5" t="s">
        <v>81</v>
      </c>
      <c r="I16" s="3"/>
      <c r="J16" s="3"/>
      <c r="K16" s="3"/>
      <c r="L16" s="3"/>
      <c r="M16" s="3"/>
      <c r="N16" s="12"/>
      <c r="O16" s="19"/>
      <c r="P16" s="19"/>
      <c r="Q16" s="19"/>
      <c r="R16" s="19"/>
      <c r="S16" s="19"/>
      <c r="T16" s="19">
        <v>61</v>
      </c>
      <c r="U16" s="19" t="str">
        <f>IF(H31="nem","CC","AA")</f>
        <v>AA</v>
      </c>
      <c r="V16" s="19" t="str">
        <f>IF(H31="nem","- Korszerű","- Közel nulla energiaigényre vonatkozó követelménynél jobb")</f>
        <v>- Közel nulla energiaigényre vonatkozó követelménynél jobb</v>
      </c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2:33" ht="15.5" x14ac:dyDescent="0.35">
      <c r="B17" s="13"/>
      <c r="C17" s="1"/>
      <c r="D17" s="1"/>
      <c r="E17" s="1"/>
      <c r="F17" s="1"/>
      <c r="G17" s="2" t="s">
        <v>20</v>
      </c>
      <c r="H17" s="26" t="s">
        <v>57</v>
      </c>
      <c r="I17" s="1"/>
      <c r="J17" s="1"/>
      <c r="K17" s="1"/>
      <c r="L17" s="1"/>
      <c r="M17" s="1"/>
      <c r="N17" s="14"/>
      <c r="O17" s="19"/>
      <c r="P17" s="19"/>
      <c r="Q17" s="19"/>
      <c r="R17" s="19">
        <f>VLOOKUP(H17,R44:S49,2,FALSE)</f>
        <v>0</v>
      </c>
      <c r="S17" s="19"/>
      <c r="T17" s="19">
        <v>81</v>
      </c>
      <c r="U17" s="19" t="str">
        <f>IF(H31="nem","CC","BB")</f>
        <v>BB</v>
      </c>
      <c r="V17" s="19" t="str">
        <f>IF(H31="nem","- Korszerű","- Közel nulla energiaigényre vonatkozó követelménynek megfelelő")</f>
        <v>- Közel nulla energiaigényre vonatkozó követelménynek megfelelő</v>
      </c>
      <c r="W17" s="19"/>
      <c r="X17" s="19"/>
      <c r="Y17" s="19" t="s">
        <v>78</v>
      </c>
      <c r="Z17" s="19">
        <v>30</v>
      </c>
      <c r="AA17" s="19">
        <v>7</v>
      </c>
      <c r="AB17" s="19">
        <v>15</v>
      </c>
      <c r="AC17" s="19">
        <v>35</v>
      </c>
      <c r="AD17" s="19"/>
      <c r="AE17" s="19"/>
      <c r="AF17" s="19"/>
      <c r="AG17" s="19"/>
    </row>
    <row r="18" spans="2:33" x14ac:dyDescent="0.35">
      <c r="B18" s="13"/>
      <c r="C18" s="1"/>
      <c r="D18" s="1"/>
      <c r="E18" s="1"/>
      <c r="F18" s="1"/>
      <c r="G18" s="7"/>
      <c r="H18" s="6" t="s">
        <v>84</v>
      </c>
      <c r="I18" s="1"/>
      <c r="J18" s="1"/>
      <c r="K18" s="1"/>
      <c r="L18" s="1"/>
      <c r="M18" s="1"/>
      <c r="N18" s="14"/>
      <c r="O18" s="19"/>
      <c r="P18" s="19"/>
      <c r="Q18" s="19"/>
      <c r="R18" s="19"/>
      <c r="S18" s="19"/>
      <c r="T18" s="19">
        <v>101</v>
      </c>
      <c r="U18" s="19" t="s">
        <v>6</v>
      </c>
      <c r="V18" s="21" t="s">
        <v>99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2:33" ht="15.5" x14ac:dyDescent="0.35">
      <c r="B19" s="11"/>
      <c r="C19" s="3"/>
      <c r="D19" s="3"/>
      <c r="E19" s="3"/>
      <c r="F19" s="3"/>
      <c r="G19" s="8" t="s">
        <v>21</v>
      </c>
      <c r="H19" s="26" t="s">
        <v>57</v>
      </c>
      <c r="I19" s="3"/>
      <c r="J19" s="3"/>
      <c r="K19" s="3"/>
      <c r="L19" s="3"/>
      <c r="M19" s="3"/>
      <c r="N19" s="12"/>
      <c r="O19" s="19"/>
      <c r="P19" s="19"/>
      <c r="Q19" s="19"/>
      <c r="R19" s="19">
        <f>VLOOKUP(H19,T44:U50,2,FALSE)</f>
        <v>0</v>
      </c>
      <c r="S19" s="19"/>
      <c r="T19" s="19">
        <v>131</v>
      </c>
      <c r="U19" s="19" t="s">
        <v>7</v>
      </c>
      <c r="V19" s="21" t="s">
        <v>100</v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2:33" x14ac:dyDescent="0.35">
      <c r="B20" s="11"/>
      <c r="C20" s="3"/>
      <c r="D20" s="3"/>
      <c r="E20" s="3"/>
      <c r="F20" s="3"/>
      <c r="G20" s="3"/>
      <c r="H20" s="5" t="s">
        <v>83</v>
      </c>
      <c r="I20" s="3"/>
      <c r="J20" s="3"/>
      <c r="K20" s="3"/>
      <c r="L20" s="3"/>
      <c r="M20" s="3"/>
      <c r="N20" s="12"/>
      <c r="O20" s="19"/>
      <c r="P20" s="19"/>
      <c r="Q20" s="19"/>
      <c r="R20" s="19"/>
      <c r="S20" s="19"/>
      <c r="T20" s="19">
        <v>161</v>
      </c>
      <c r="U20" s="19" t="s">
        <v>8</v>
      </c>
      <c r="V20" s="21" t="s">
        <v>101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2:33" ht="15.5" x14ac:dyDescent="0.35">
      <c r="B21" s="13"/>
      <c r="C21" s="1"/>
      <c r="D21" s="1"/>
      <c r="E21" s="1"/>
      <c r="F21" s="1"/>
      <c r="G21" s="2" t="s">
        <v>22</v>
      </c>
      <c r="H21" s="26" t="s">
        <v>57</v>
      </c>
      <c r="I21" s="1"/>
      <c r="J21" s="1"/>
      <c r="K21" s="1"/>
      <c r="L21" s="1"/>
      <c r="M21" s="1"/>
      <c r="N21" s="14"/>
      <c r="O21" s="19"/>
      <c r="P21" s="19"/>
      <c r="Q21" s="19"/>
      <c r="R21" s="19">
        <f>VLOOKUP(H21,V44:W49,2,FALSE)</f>
        <v>0</v>
      </c>
      <c r="S21" s="19"/>
      <c r="T21" s="19">
        <v>201</v>
      </c>
      <c r="U21" s="19" t="s">
        <v>9</v>
      </c>
      <c r="V21" s="21" t="s">
        <v>102</v>
      </c>
      <c r="W21" s="19"/>
      <c r="X21" s="19"/>
      <c r="Y21" s="19" t="s">
        <v>79</v>
      </c>
      <c r="Z21" s="19">
        <v>30</v>
      </c>
      <c r="AA21" s="19">
        <v>7</v>
      </c>
      <c r="AB21" s="19">
        <v>15</v>
      </c>
      <c r="AC21" s="19">
        <v>35</v>
      </c>
      <c r="AD21" s="19"/>
      <c r="AE21" s="19"/>
      <c r="AF21" s="19"/>
      <c r="AG21" s="19"/>
    </row>
    <row r="22" spans="2:33" x14ac:dyDescent="0.35">
      <c r="B22" s="13"/>
      <c r="C22" s="1"/>
      <c r="D22" s="1"/>
      <c r="E22" s="1"/>
      <c r="F22" s="1"/>
      <c r="G22" s="1"/>
      <c r="H22" s="6" t="s">
        <v>82</v>
      </c>
      <c r="I22" s="1"/>
      <c r="J22" s="1"/>
      <c r="K22" s="1"/>
      <c r="L22" s="1"/>
      <c r="M22" s="1"/>
      <c r="N22" s="14"/>
      <c r="O22" s="19"/>
      <c r="P22" s="19"/>
      <c r="Q22" s="19"/>
      <c r="R22" s="19"/>
      <c r="S22" s="19"/>
      <c r="T22" s="19">
        <v>251</v>
      </c>
      <c r="U22" s="19" t="s">
        <v>10</v>
      </c>
      <c r="V22" s="21" t="s">
        <v>103</v>
      </c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2:33" x14ac:dyDescent="0.35">
      <c r="B23" s="11"/>
      <c r="C23" s="3"/>
      <c r="D23" s="3"/>
      <c r="E23" s="3"/>
      <c r="F23" s="3"/>
      <c r="G23" s="44" t="s">
        <v>25</v>
      </c>
      <c r="H23" s="26" t="s">
        <v>57</v>
      </c>
      <c r="I23" s="47" t="str">
        <f>IF(AND(H10="családi ház",H23="alattam szintén lakás van"),"Családi ház alatt nem lehet lakás, válasszon másik beállítást!","")</f>
        <v/>
      </c>
      <c r="J23" s="47"/>
      <c r="K23" s="47"/>
      <c r="L23" s="47"/>
      <c r="M23" s="47"/>
      <c r="N23" s="12"/>
      <c r="O23" s="19"/>
      <c r="P23" s="19"/>
      <c r="Q23" s="19"/>
      <c r="R23" s="19">
        <f>VLOOKUP(H23,X44:Y48,2,FALSE)</f>
        <v>0</v>
      </c>
      <c r="S23" s="19"/>
      <c r="T23" s="19">
        <v>311</v>
      </c>
      <c r="U23" s="19" t="s">
        <v>11</v>
      </c>
      <c r="V23" s="21" t="s">
        <v>104</v>
      </c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33" x14ac:dyDescent="0.35">
      <c r="B24" s="11"/>
      <c r="C24" s="3"/>
      <c r="D24" s="3"/>
      <c r="E24" s="3"/>
      <c r="F24" s="3"/>
      <c r="G24" s="44"/>
      <c r="H24" s="5" t="s">
        <v>85</v>
      </c>
      <c r="I24" s="47"/>
      <c r="J24" s="47"/>
      <c r="K24" s="47"/>
      <c r="L24" s="47"/>
      <c r="M24" s="47"/>
      <c r="N24" s="12"/>
      <c r="O24" s="19"/>
      <c r="P24" s="19"/>
      <c r="Q24" s="19"/>
      <c r="R24" s="19"/>
      <c r="S24" s="19"/>
      <c r="T24" s="19">
        <v>401</v>
      </c>
      <c r="U24" s="19" t="s">
        <v>12</v>
      </c>
      <c r="V24" s="21" t="s">
        <v>105</v>
      </c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2:33" x14ac:dyDescent="0.35">
      <c r="B25" s="13"/>
      <c r="C25" s="1"/>
      <c r="D25" s="1"/>
      <c r="E25" s="1"/>
      <c r="F25" s="1"/>
      <c r="G25" s="34" t="s">
        <v>24</v>
      </c>
      <c r="H25" s="26" t="s">
        <v>57</v>
      </c>
      <c r="I25" s="46" t="str">
        <f>IF(AND(H10="családi ház",H25="felettem szintén lakás van"),"Családi ház felett nem lehet lakás, válasszon másik beállítást!","")</f>
        <v/>
      </c>
      <c r="J25" s="46"/>
      <c r="K25" s="46"/>
      <c r="L25" s="46"/>
      <c r="M25" s="46"/>
      <c r="N25" s="14"/>
      <c r="O25" s="19"/>
      <c r="P25" s="19"/>
      <c r="Q25" s="19"/>
      <c r="R25" s="19">
        <f>VLOOKUP(H25,Z44:AA47,2,FALSE)</f>
        <v>0</v>
      </c>
      <c r="S25" s="19"/>
      <c r="T25" s="19">
        <v>501</v>
      </c>
      <c r="U25" s="19" t="s">
        <v>13</v>
      </c>
      <c r="V25" s="21" t="s">
        <v>106</v>
      </c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2:33" x14ac:dyDescent="0.35">
      <c r="B26" s="13"/>
      <c r="C26" s="1"/>
      <c r="D26" s="1"/>
      <c r="E26" s="1"/>
      <c r="F26" s="1"/>
      <c r="G26" s="34"/>
      <c r="H26" s="6" t="s">
        <v>86</v>
      </c>
      <c r="I26" s="46"/>
      <c r="J26" s="46"/>
      <c r="K26" s="46"/>
      <c r="L26" s="46"/>
      <c r="M26" s="46"/>
      <c r="N26" s="14"/>
      <c r="O26" s="19"/>
      <c r="P26" s="19"/>
      <c r="Q26" s="19"/>
      <c r="R26" s="19"/>
      <c r="S26" s="19"/>
      <c r="T26" s="19"/>
      <c r="U26" s="19" t="s">
        <v>75</v>
      </c>
      <c r="V26" s="19" t="s">
        <v>74</v>
      </c>
      <c r="W26" s="19"/>
      <c r="X26" s="19"/>
      <c r="Y26" s="19"/>
      <c r="Z26" s="20">
        <v>0.5</v>
      </c>
      <c r="AA26" s="19"/>
      <c r="AB26" s="19"/>
      <c r="AC26" s="19"/>
      <c r="AD26" s="19"/>
      <c r="AE26" s="19"/>
      <c r="AF26" s="19"/>
      <c r="AG26" s="19"/>
    </row>
    <row r="27" spans="2:33" x14ac:dyDescent="0.35">
      <c r="B27" s="11"/>
      <c r="C27" s="3"/>
      <c r="D27" s="3"/>
      <c r="E27" s="3"/>
      <c r="F27" s="44" t="s">
        <v>26</v>
      </c>
      <c r="G27" s="44"/>
      <c r="H27" s="26" t="s">
        <v>57</v>
      </c>
      <c r="I27" s="3"/>
      <c r="J27" s="3"/>
      <c r="K27" s="3"/>
      <c r="L27" s="3"/>
      <c r="M27" s="3"/>
      <c r="N27" s="12"/>
      <c r="O27" s="19"/>
      <c r="P27" s="19"/>
      <c r="Q27" s="19"/>
      <c r="R27" s="19">
        <f>VLOOKUP(H27,AB44:AC52,2,FALSE)</f>
        <v>0</v>
      </c>
      <c r="S27" s="19"/>
      <c r="T27" s="19"/>
      <c r="U27" s="19"/>
      <c r="V27" s="19"/>
      <c r="W27" s="19"/>
      <c r="X27" s="19"/>
      <c r="Y27" s="19" t="s">
        <v>0</v>
      </c>
      <c r="Z27" s="22">
        <v>50</v>
      </c>
      <c r="AA27" s="19">
        <v>12</v>
      </c>
      <c r="AB27" s="22">
        <v>25</v>
      </c>
      <c r="AC27" s="22">
        <v>60</v>
      </c>
      <c r="AD27" s="19"/>
      <c r="AE27" s="19"/>
      <c r="AF27" s="19"/>
      <c r="AG27" s="19"/>
    </row>
    <row r="28" spans="2:33" x14ac:dyDescent="0.35">
      <c r="B28" s="11"/>
      <c r="C28" s="3"/>
      <c r="D28" s="3"/>
      <c r="E28" s="3"/>
      <c r="F28" s="44"/>
      <c r="G28" s="44"/>
      <c r="H28" s="5" t="s">
        <v>87</v>
      </c>
      <c r="I28" s="3"/>
      <c r="J28" s="3"/>
      <c r="K28" s="3"/>
      <c r="L28" s="3"/>
      <c r="M28" s="3"/>
      <c r="N28" s="12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 t="s">
        <v>1</v>
      </c>
      <c r="Z28" s="19">
        <v>50</v>
      </c>
      <c r="AA28" s="19">
        <v>12</v>
      </c>
      <c r="AB28" s="22">
        <v>25</v>
      </c>
      <c r="AC28" s="22">
        <v>60</v>
      </c>
      <c r="AD28" s="19"/>
      <c r="AE28" s="19"/>
      <c r="AF28" s="19"/>
      <c r="AG28" s="19"/>
    </row>
    <row r="29" spans="2:33" ht="15" customHeight="1" x14ac:dyDescent="0.35">
      <c r="B29" s="13"/>
      <c r="C29" s="1"/>
      <c r="D29" s="34" t="s">
        <v>27</v>
      </c>
      <c r="E29" s="34"/>
      <c r="F29" s="34"/>
      <c r="G29" s="34"/>
      <c r="H29" s="26" t="s">
        <v>57</v>
      </c>
      <c r="I29" s="1"/>
      <c r="J29" s="1"/>
      <c r="K29" s="1"/>
      <c r="L29" s="1"/>
      <c r="M29" s="1"/>
      <c r="N29" s="14"/>
      <c r="O29" s="19"/>
      <c r="P29" s="19"/>
      <c r="Q29" s="19"/>
      <c r="R29" s="19">
        <f>VLOOKUP(H29,AD44:AE51,2,FALSE)</f>
        <v>0</v>
      </c>
      <c r="S29" s="19"/>
      <c r="T29" s="19"/>
      <c r="U29" s="19"/>
      <c r="V29" s="19"/>
      <c r="W29" s="19"/>
      <c r="X29" s="19"/>
      <c r="Y29" s="19" t="s">
        <v>80</v>
      </c>
      <c r="Z29" s="19"/>
      <c r="AA29" s="19">
        <v>-20</v>
      </c>
      <c r="AB29" s="22">
        <v>0</v>
      </c>
      <c r="AC29" s="19"/>
      <c r="AD29" s="19"/>
      <c r="AE29" s="19"/>
      <c r="AF29" s="19"/>
      <c r="AG29" s="19"/>
    </row>
    <row r="30" spans="2:33" ht="15" customHeight="1" x14ac:dyDescent="0.35">
      <c r="B30" s="13"/>
      <c r="C30" s="1"/>
      <c r="D30" s="34"/>
      <c r="E30" s="34"/>
      <c r="F30" s="34"/>
      <c r="G30" s="34"/>
      <c r="H30" s="6" t="s">
        <v>88</v>
      </c>
      <c r="I30" s="1"/>
      <c r="J30" s="1"/>
      <c r="K30" s="1"/>
      <c r="L30" s="1"/>
      <c r="M30" s="1"/>
      <c r="N30" s="14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>
        <f>SUM(AA12:AA29)</f>
        <v>27</v>
      </c>
      <c r="AB30" s="19">
        <f>SUM(AB12:AB29)</f>
        <v>101</v>
      </c>
      <c r="AC30" s="19">
        <f>SUM(AC12:AC29)</f>
        <v>242</v>
      </c>
      <c r="AD30" s="19"/>
      <c r="AE30" s="19"/>
      <c r="AF30" s="19"/>
      <c r="AG30" s="19"/>
    </row>
    <row r="31" spans="2:33" ht="15.5" x14ac:dyDescent="0.35">
      <c r="B31" s="11"/>
      <c r="C31" s="3"/>
      <c r="D31" s="3"/>
      <c r="E31" s="3"/>
      <c r="F31" s="3"/>
      <c r="G31" s="8" t="s">
        <v>72</v>
      </c>
      <c r="H31" s="26" t="s">
        <v>57</v>
      </c>
      <c r="I31" s="3"/>
      <c r="J31" s="3"/>
      <c r="K31" s="3"/>
      <c r="L31" s="3"/>
      <c r="M31" s="3"/>
      <c r="N31" s="12"/>
      <c r="O31" s="19"/>
      <c r="P31" s="19"/>
      <c r="Q31" s="19"/>
      <c r="R31" s="19">
        <f>VLOOKUP(H31,AF44:AG47,2,FALSE)</f>
        <v>0</v>
      </c>
      <c r="S31" s="19"/>
      <c r="T31" s="19"/>
      <c r="U31" s="19"/>
      <c r="V31" s="19"/>
      <c r="W31" s="19"/>
      <c r="X31" s="19"/>
      <c r="Y31" s="19"/>
      <c r="Z31" s="19"/>
      <c r="AA31" s="19" t="s">
        <v>5</v>
      </c>
      <c r="AB31" s="19" t="s">
        <v>6</v>
      </c>
      <c r="AC31" s="19" t="s">
        <v>9</v>
      </c>
      <c r="AD31" s="19"/>
      <c r="AE31" s="19"/>
      <c r="AF31" s="19"/>
      <c r="AG31" s="19"/>
    </row>
    <row r="32" spans="2:33" x14ac:dyDescent="0.35">
      <c r="B32" s="11"/>
      <c r="C32" s="3"/>
      <c r="D32" s="3"/>
      <c r="E32" s="3"/>
      <c r="F32" s="3"/>
      <c r="G32" s="3"/>
      <c r="H32" s="5" t="s">
        <v>89</v>
      </c>
      <c r="I32" s="3"/>
      <c r="J32" s="3"/>
      <c r="K32" s="3"/>
      <c r="L32" s="3"/>
      <c r="M32" s="3"/>
      <c r="N32" s="12"/>
      <c r="O32" s="19"/>
      <c r="P32" s="19"/>
      <c r="Q32" s="19" t="s">
        <v>73</v>
      </c>
      <c r="R32" s="19">
        <f>(R17+R19+R21+(R23+R25)*R15+R27+R29+R31)*R13</f>
        <v>0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2:33" ht="15" customHeight="1" x14ac:dyDescent="0.35">
      <c r="B33" s="13"/>
      <c r="C33" s="41" t="s">
        <v>98</v>
      </c>
      <c r="D33" s="41"/>
      <c r="E33" s="41"/>
      <c r="F33" s="41"/>
      <c r="G33" s="41"/>
      <c r="H33" s="42" t="str">
        <f>CONCATENATE(Q33," ",R33)</f>
        <v>Kérjük adjon meg minden adatot!</v>
      </c>
      <c r="I33" s="42"/>
      <c r="J33" s="42"/>
      <c r="K33" s="42"/>
      <c r="L33" s="1"/>
      <c r="M33" s="1"/>
      <c r="N33" s="14"/>
      <c r="O33" s="19"/>
      <c r="P33" s="19"/>
      <c r="Q33" s="19" t="str">
        <f>IF(OR(H11="kérjük válasszon…",H10="kérjük válasszon…",H13="kérjük válasszon…",H15="kérjük válasszon…",H17="kérjük válasszon…",H19="kérjük válasszon…",H21="kérjük válasszon…",H23="kérjük válasszon…",H25="kérjük válasszon…",H27="kérjük válasszon…",H29="kérjük válasszon…",H31="kérjük válasszon…",),"Kérjük adjon meg",VLOOKUP(R32,T14:U25,2,TRUE))</f>
        <v>Kérjük adjon meg</v>
      </c>
      <c r="R33" s="19" t="str">
        <f>VLOOKUP(Q33,U14:V26,2,TRUE)</f>
        <v>minden adatot!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2:33" ht="15" customHeight="1" x14ac:dyDescent="0.35">
      <c r="B34" s="13"/>
      <c r="C34" s="41"/>
      <c r="D34" s="41"/>
      <c r="E34" s="41"/>
      <c r="F34" s="41"/>
      <c r="G34" s="41"/>
      <c r="H34" s="42"/>
      <c r="I34" s="42"/>
      <c r="J34" s="42"/>
      <c r="K34" s="42"/>
      <c r="L34" s="1"/>
      <c r="M34" s="1"/>
      <c r="N34" s="14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2:33" ht="15.5" x14ac:dyDescent="0.35">
      <c r="B35" s="13"/>
      <c r="C35" s="43" t="str">
        <f>IF(AND(H31="nem",R32&lt;101),"Figyelem! Megújuló energiaforrás használata esetén CC-nél jobb energetikai besorolás is elérhető volna!","")</f>
        <v/>
      </c>
      <c r="D35" s="43"/>
      <c r="E35" s="43"/>
      <c r="F35" s="43"/>
      <c r="G35" s="43"/>
      <c r="H35" s="43"/>
      <c r="I35" s="43"/>
      <c r="J35" s="43"/>
      <c r="K35" s="43"/>
      <c r="L35" s="43"/>
      <c r="M35" s="1"/>
      <c r="N35" s="14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2:33" ht="15.5" x14ac:dyDescent="0.35">
      <c r="B36" s="11"/>
      <c r="C36" s="30" t="str">
        <f>IF(OR(H11="kérjük válasszon…",H10="kérjük válasszon…",H13="kérjük válasszon…",H15="kérjük válasszon…",H17="kérjük válasszon…",H19="kérjük válasszon…",H21="kérjük válasszon…",H23="kérjük válasszon…",H25="kérjük válasszon…",H27="kérjük válasszon…",H29="kérjük válasszon…",H31="kérjük válasszon…",),"","Érdekli, hogy mennyibe kerülne ennek az ingatlannak az energetikai tanúsítása? Kérjük adja meg, hol található az ingatlan!")</f>
        <v/>
      </c>
      <c r="D36" s="30"/>
      <c r="E36" s="30"/>
      <c r="F36" s="30"/>
      <c r="G36" s="30"/>
      <c r="H36" s="30"/>
      <c r="I36" s="30"/>
      <c r="J36" s="30"/>
      <c r="K36" s="30"/>
      <c r="L36" s="30"/>
      <c r="M36" s="3"/>
      <c r="N36" s="12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2:33" ht="15.5" x14ac:dyDescent="0.35">
      <c r="B37" s="11"/>
      <c r="C37" s="3"/>
      <c r="D37" s="3"/>
      <c r="E37" s="3"/>
      <c r="F37" s="3"/>
      <c r="G37" s="9" t="str">
        <f>IF(OR(H11="kérjük válasszon…",H10="kérjük válasszon…",H13="kérjük válasszon…",H15="kérjük válasszon…",H17="kérjük válasszon…",H19="kérjük válasszon…",H21="kérjük válasszon…",H23="kérjük válasszon…",H25="kérjük válasszon…",H27="kérjük válasszon…",H29="kérjük válasszon…",H31="kérjük válasszon…",),"","-----&gt;")</f>
        <v/>
      </c>
      <c r="H37" s="27"/>
      <c r="I37" s="10" t="str">
        <f>IF(OR(H11="kérjük válasszon…",H10="kérjük válasszon…",H13="kérjük válasszon…",H15="kérjük válasszon…",H17="kérjük válasszon…",H19="kérjük válasszon…",H21="kérjük válasszon…",H23="kérjük válasszon…",H25="kérjük válasszon…",H27="kérjük válasszon…",H29="kérjük válasszon…",H31="kérjük válasszon…",),"","&lt;-----")</f>
        <v/>
      </c>
      <c r="J37" s="3"/>
      <c r="K37" s="3"/>
      <c r="L37" s="3"/>
      <c r="M37" s="3"/>
      <c r="N37" s="12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2:33" ht="15.5" x14ac:dyDescent="0.35">
      <c r="B38" s="11"/>
      <c r="C38" s="3"/>
      <c r="D38" s="3"/>
      <c r="E38" s="3"/>
      <c r="F38" s="3"/>
      <c r="G38" s="8" t="str">
        <f>IF(OR(H37=""),"","Ebben az esetben a tanúsítás bruttó díja:")</f>
        <v/>
      </c>
      <c r="H38" s="15" t="str">
        <f>IF(OR(H37=""),"",VLOOKUP(H11,L55:P59,L61,FALSE))</f>
        <v/>
      </c>
      <c r="I38" s="3"/>
      <c r="J38" s="3"/>
      <c r="K38" s="3"/>
      <c r="L38" s="3"/>
      <c r="M38" s="3"/>
      <c r="N38" s="12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2:33" ht="15.75" customHeight="1" x14ac:dyDescent="0.35">
      <c r="B39" s="31" t="str">
        <f>IF(OR(H37=""),"","Megrendelését leadhatja telefonon a 06-70/235-0114-es telefonszámon, vagy a weblapunkon keresztül: www.e-tanusitas.eu/megrendeles")</f>
        <v/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16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2:33" s="17" customFormat="1" ht="15" customHeight="1" x14ac:dyDescent="0.35"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23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2:33" s="17" customFormat="1" x14ac:dyDescent="0.35"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2:33" s="17" customFormat="1" x14ac:dyDescent="0.35">
      <c r="H42" s="19"/>
      <c r="I42" s="19"/>
      <c r="J42" s="19"/>
      <c r="K42" s="19"/>
      <c r="L42" s="19"/>
      <c r="M42" s="19"/>
      <c r="N42" s="19"/>
      <c r="O42" s="19" t="s">
        <v>56</v>
      </c>
      <c r="P42" s="19"/>
      <c r="Q42" s="19" t="s">
        <v>56</v>
      </c>
      <c r="R42" s="19"/>
      <c r="S42" s="19"/>
      <c r="T42" s="19"/>
      <c r="U42" s="19"/>
      <c r="V42" s="19"/>
      <c r="W42" s="19"/>
      <c r="X42" s="19" t="s">
        <v>49</v>
      </c>
      <c r="Y42" s="19"/>
      <c r="Z42" s="19"/>
      <c r="AA42" s="19"/>
      <c r="AB42" s="19"/>
      <c r="AC42" s="19"/>
      <c r="AD42" s="19"/>
      <c r="AE42" s="19"/>
      <c r="AF42" s="19"/>
      <c r="AG42" s="19"/>
    </row>
    <row r="43" spans="2:33" s="17" customFormat="1" x14ac:dyDescent="0.35">
      <c r="H43" s="19"/>
      <c r="I43" s="19"/>
      <c r="J43" s="19"/>
      <c r="K43" s="24" t="s">
        <v>23</v>
      </c>
      <c r="L43" s="24" t="s">
        <v>17</v>
      </c>
      <c r="M43" s="24"/>
      <c r="N43" s="24" t="s">
        <v>18</v>
      </c>
      <c r="O43" s="24"/>
      <c r="P43" s="24" t="s">
        <v>19</v>
      </c>
      <c r="Q43" s="24"/>
      <c r="R43" s="24" t="s">
        <v>20</v>
      </c>
      <c r="S43" s="24"/>
      <c r="T43" s="24" t="s">
        <v>28</v>
      </c>
      <c r="U43" s="24"/>
      <c r="V43" s="24" t="s">
        <v>29</v>
      </c>
      <c r="W43" s="24"/>
      <c r="X43" s="24" t="s">
        <v>25</v>
      </c>
      <c r="Y43" s="24"/>
      <c r="Z43" s="24" t="s">
        <v>24</v>
      </c>
      <c r="AA43" s="24"/>
      <c r="AB43" s="24" t="s">
        <v>26</v>
      </c>
      <c r="AC43" s="19"/>
      <c r="AD43" s="24" t="s">
        <v>53</v>
      </c>
      <c r="AE43" s="19"/>
      <c r="AF43" s="19" t="s">
        <v>71</v>
      </c>
      <c r="AG43" s="19"/>
    </row>
    <row r="44" spans="2:33" s="17" customFormat="1" x14ac:dyDescent="0.35">
      <c r="H44" s="19"/>
      <c r="I44" s="19"/>
      <c r="J44" s="19"/>
      <c r="K44" s="19" t="s">
        <v>57</v>
      </c>
      <c r="L44" s="19" t="s">
        <v>57</v>
      </c>
      <c r="M44" s="19"/>
      <c r="N44" s="19" t="s">
        <v>57</v>
      </c>
      <c r="O44" s="19"/>
      <c r="P44" s="19" t="s">
        <v>57</v>
      </c>
      <c r="Q44" s="19"/>
      <c r="R44" s="19" t="s">
        <v>57</v>
      </c>
      <c r="S44" s="19"/>
      <c r="T44" s="19" t="s">
        <v>57</v>
      </c>
      <c r="U44" s="19"/>
      <c r="V44" s="19" t="s">
        <v>57</v>
      </c>
      <c r="W44" s="19"/>
      <c r="X44" s="19" t="s">
        <v>57</v>
      </c>
      <c r="Y44" s="19"/>
      <c r="Z44" s="19" t="s">
        <v>57</v>
      </c>
      <c r="AA44" s="19"/>
      <c r="AB44" s="19" t="s">
        <v>57</v>
      </c>
      <c r="AC44" s="19"/>
      <c r="AD44" s="19" t="s">
        <v>57</v>
      </c>
      <c r="AE44" s="19"/>
      <c r="AF44" s="19" t="s">
        <v>57</v>
      </c>
      <c r="AG44" s="19"/>
    </row>
    <row r="45" spans="2:33" s="17" customFormat="1" x14ac:dyDescent="0.35">
      <c r="H45" s="19"/>
      <c r="I45" s="19"/>
      <c r="J45" s="19"/>
      <c r="K45" s="19" t="s">
        <v>3</v>
      </c>
      <c r="L45" s="19" t="str">
        <f>IF(H10="lakás","0 - 40","0 - 80")</f>
        <v>0 - 80</v>
      </c>
      <c r="M45" s="19"/>
      <c r="N45" s="19" t="s">
        <v>30</v>
      </c>
      <c r="O45" s="19">
        <v>0.9</v>
      </c>
      <c r="P45" s="19" t="s">
        <v>33</v>
      </c>
      <c r="Q45" s="19">
        <v>3.5</v>
      </c>
      <c r="R45" s="19" t="s">
        <v>38</v>
      </c>
      <c r="S45" s="19">
        <v>20</v>
      </c>
      <c r="T45" s="19" t="s">
        <v>54</v>
      </c>
      <c r="U45" s="19">
        <v>25</v>
      </c>
      <c r="V45" s="19" t="s">
        <v>44</v>
      </c>
      <c r="W45" s="19">
        <v>12</v>
      </c>
      <c r="X45" s="19" t="s">
        <v>50</v>
      </c>
      <c r="Y45" s="19">
        <v>15</v>
      </c>
      <c r="Z45" s="19" t="s">
        <v>58</v>
      </c>
      <c r="AA45" s="19">
        <v>15</v>
      </c>
      <c r="AB45" s="19" t="s">
        <v>59</v>
      </c>
      <c r="AC45" s="19">
        <v>25</v>
      </c>
      <c r="AD45" s="19" t="s">
        <v>59</v>
      </c>
      <c r="AE45" s="19">
        <v>25</v>
      </c>
      <c r="AF45" s="19" t="s">
        <v>16</v>
      </c>
      <c r="AG45" s="19">
        <v>0</v>
      </c>
    </row>
    <row r="46" spans="2:33" s="17" customFormat="1" x14ac:dyDescent="0.35">
      <c r="H46" s="19"/>
      <c r="I46" s="19"/>
      <c r="J46" s="19"/>
      <c r="K46" s="19" t="s">
        <v>4</v>
      </c>
      <c r="L46" s="19" t="str">
        <f>IF(H10="lakás","41 - 120","81 - 120")</f>
        <v>81 - 120</v>
      </c>
      <c r="M46" s="19"/>
      <c r="N46" s="19" t="s">
        <v>32</v>
      </c>
      <c r="O46" s="19">
        <v>1</v>
      </c>
      <c r="P46" s="19" t="s">
        <v>34</v>
      </c>
      <c r="Q46" s="19">
        <v>3</v>
      </c>
      <c r="R46" s="19" t="s">
        <v>55</v>
      </c>
      <c r="S46" s="19">
        <v>25</v>
      </c>
      <c r="T46" s="19" t="s">
        <v>43</v>
      </c>
      <c r="U46" s="19">
        <v>16</v>
      </c>
      <c r="V46" s="19" t="s">
        <v>46</v>
      </c>
      <c r="W46" s="19">
        <v>10</v>
      </c>
      <c r="X46" s="19" t="s">
        <v>51</v>
      </c>
      <c r="Y46" s="19">
        <v>12</v>
      </c>
      <c r="Z46" s="19" t="s">
        <v>2</v>
      </c>
      <c r="AA46" s="19">
        <v>12</v>
      </c>
      <c r="AB46" s="19" t="s">
        <v>60</v>
      </c>
      <c r="AC46" s="19">
        <v>60</v>
      </c>
      <c r="AD46" s="19" t="s">
        <v>67</v>
      </c>
      <c r="AE46" s="19">
        <v>25</v>
      </c>
      <c r="AF46" s="19" t="s">
        <v>15</v>
      </c>
      <c r="AG46" s="19">
        <v>-20</v>
      </c>
    </row>
    <row r="47" spans="2:33" s="17" customFormat="1" x14ac:dyDescent="0.35">
      <c r="H47" s="19"/>
      <c r="I47" s="19"/>
      <c r="J47" s="19"/>
      <c r="K47" s="19"/>
      <c r="L47" s="19" t="s">
        <v>94</v>
      </c>
      <c r="M47" s="19"/>
      <c r="N47" s="19" t="s">
        <v>31</v>
      </c>
      <c r="O47" s="19">
        <v>1.2</v>
      </c>
      <c r="P47" s="19" t="s">
        <v>45</v>
      </c>
      <c r="Q47" s="19">
        <v>2.5</v>
      </c>
      <c r="R47" s="19" t="s">
        <v>91</v>
      </c>
      <c r="S47" s="19">
        <v>8</v>
      </c>
      <c r="T47" s="19" t="s">
        <v>39</v>
      </c>
      <c r="U47" s="19">
        <v>12</v>
      </c>
      <c r="V47" s="19" t="s">
        <v>47</v>
      </c>
      <c r="W47" s="19">
        <v>7</v>
      </c>
      <c r="X47" s="19" t="s">
        <v>52</v>
      </c>
      <c r="Y47" s="19">
        <v>9</v>
      </c>
      <c r="Z47" s="19" t="s">
        <v>120</v>
      </c>
      <c r="AA47" s="19">
        <v>0</v>
      </c>
      <c r="AB47" s="19" t="s">
        <v>61</v>
      </c>
      <c r="AC47" s="19">
        <v>40</v>
      </c>
      <c r="AD47" s="19" t="s">
        <v>63</v>
      </c>
      <c r="AE47" s="19">
        <v>12</v>
      </c>
      <c r="AF47" s="19" t="s">
        <v>14</v>
      </c>
      <c r="AG47" s="19">
        <v>-40</v>
      </c>
    </row>
    <row r="48" spans="2:33" s="17" customFormat="1" x14ac:dyDescent="0.35">
      <c r="H48" s="19"/>
      <c r="I48" s="19"/>
      <c r="J48" s="19"/>
      <c r="K48" s="19"/>
      <c r="L48" s="19" t="s">
        <v>95</v>
      </c>
      <c r="M48" s="19"/>
      <c r="N48" s="19"/>
      <c r="O48" s="19"/>
      <c r="P48" s="19" t="s">
        <v>46</v>
      </c>
      <c r="Q48" s="19">
        <v>2</v>
      </c>
      <c r="R48" s="19" t="s">
        <v>36</v>
      </c>
      <c r="S48" s="19">
        <v>25</v>
      </c>
      <c r="T48" s="19" t="s">
        <v>40</v>
      </c>
      <c r="U48" s="19">
        <v>8</v>
      </c>
      <c r="V48" s="19" t="s">
        <v>48</v>
      </c>
      <c r="W48" s="19">
        <v>5</v>
      </c>
      <c r="X48" s="19" t="s">
        <v>119</v>
      </c>
      <c r="Y48" s="19">
        <v>0</v>
      </c>
      <c r="Z48" s="19"/>
      <c r="AA48" s="19"/>
      <c r="AB48" s="19" t="s">
        <v>62</v>
      </c>
      <c r="AC48" s="19">
        <v>25</v>
      </c>
      <c r="AD48" s="19" t="s">
        <v>68</v>
      </c>
      <c r="AE48" s="19">
        <v>40</v>
      </c>
      <c r="AF48" s="19"/>
      <c r="AG48" s="19"/>
    </row>
    <row r="49" spans="8:33" s="17" customFormat="1" x14ac:dyDescent="0.35">
      <c r="H49" s="19"/>
      <c r="I49" s="19"/>
      <c r="J49" s="48"/>
      <c r="K49" s="19"/>
      <c r="L49" s="19" t="s">
        <v>96</v>
      </c>
      <c r="M49" s="19"/>
      <c r="N49" s="19"/>
      <c r="O49" s="19"/>
      <c r="P49" s="19" t="s">
        <v>47</v>
      </c>
      <c r="Q49" s="19">
        <v>1.5</v>
      </c>
      <c r="R49" s="19" t="s">
        <v>37</v>
      </c>
      <c r="S49" s="19">
        <v>6</v>
      </c>
      <c r="T49" s="19" t="s">
        <v>41</v>
      </c>
      <c r="U49" s="19">
        <v>3</v>
      </c>
      <c r="V49" s="19" t="s">
        <v>35</v>
      </c>
      <c r="W49" s="19">
        <v>2</v>
      </c>
      <c r="X49" s="19"/>
      <c r="Y49" s="19"/>
      <c r="Z49" s="19"/>
      <c r="AA49" s="19"/>
      <c r="AB49" s="19" t="s">
        <v>63</v>
      </c>
      <c r="AC49" s="19">
        <v>12</v>
      </c>
      <c r="AD49" s="19" t="s">
        <v>69</v>
      </c>
      <c r="AE49" s="19">
        <v>60</v>
      </c>
      <c r="AF49" s="19"/>
      <c r="AG49" s="19"/>
    </row>
    <row r="50" spans="8:33" s="17" customFormat="1" x14ac:dyDescent="0.35">
      <c r="H50" s="19"/>
      <c r="I50" s="19"/>
      <c r="J50" s="48"/>
      <c r="K50" s="19"/>
      <c r="L50" s="19"/>
      <c r="M50" s="19"/>
      <c r="N50" s="19"/>
      <c r="O50" s="19"/>
      <c r="P50" s="19" t="s">
        <v>48</v>
      </c>
      <c r="Q50" s="19">
        <v>1</v>
      </c>
      <c r="R50" s="19"/>
      <c r="S50" s="19"/>
      <c r="T50" s="19" t="s">
        <v>42</v>
      </c>
      <c r="U50" s="19">
        <v>0</v>
      </c>
      <c r="V50" s="19"/>
      <c r="W50" s="19"/>
      <c r="X50" s="19"/>
      <c r="Y50" s="19"/>
      <c r="Z50" s="19"/>
      <c r="AA50" s="19"/>
      <c r="AB50" s="19" t="s">
        <v>64</v>
      </c>
      <c r="AC50" s="19">
        <v>45</v>
      </c>
      <c r="AD50" s="19" t="s">
        <v>70</v>
      </c>
      <c r="AE50" s="19">
        <v>35</v>
      </c>
      <c r="AF50" s="19"/>
      <c r="AG50" s="19"/>
    </row>
    <row r="51" spans="8:33" s="17" customFormat="1" x14ac:dyDescent="0.35">
      <c r="H51" s="19"/>
      <c r="I51" s="19"/>
      <c r="J51" s="48"/>
      <c r="K51" s="19" t="s">
        <v>108</v>
      </c>
      <c r="L51" s="19"/>
      <c r="M51" s="19"/>
      <c r="N51" s="19"/>
      <c r="O51" s="19"/>
      <c r="P51" s="19" t="s">
        <v>35</v>
      </c>
      <c r="Q51" s="19">
        <v>0.9</v>
      </c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 t="s">
        <v>65</v>
      </c>
      <c r="AC51" s="19">
        <v>30</v>
      </c>
      <c r="AD51" s="19" t="s">
        <v>66</v>
      </c>
      <c r="AE51" s="19">
        <v>30</v>
      </c>
      <c r="AF51" s="19"/>
      <c r="AG51" s="19"/>
    </row>
    <row r="52" spans="8:33" s="17" customFormat="1" x14ac:dyDescent="0.35">
      <c r="H52" s="19"/>
      <c r="I52" s="19"/>
      <c r="J52" s="48"/>
      <c r="K52" s="19" t="s">
        <v>109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 t="s">
        <v>66</v>
      </c>
      <c r="AC52" s="19">
        <v>30</v>
      </c>
      <c r="AD52" s="19"/>
      <c r="AE52" s="19"/>
      <c r="AF52" s="19"/>
      <c r="AG52" s="19"/>
    </row>
    <row r="53" spans="8:33" s="17" customFormat="1" x14ac:dyDescent="0.35">
      <c r="H53" s="19"/>
      <c r="I53" s="19"/>
      <c r="J53" s="48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8:33" s="17" customFormat="1" x14ac:dyDescent="0.35">
      <c r="H54" s="19"/>
      <c r="I54" s="19"/>
      <c r="J54" s="48"/>
      <c r="K54" s="19"/>
      <c r="L54" s="19"/>
      <c r="M54" s="19" t="s">
        <v>110</v>
      </c>
      <c r="N54" s="19" t="s">
        <v>111</v>
      </c>
      <c r="O54" s="19" t="s">
        <v>113</v>
      </c>
      <c r="P54" s="19" t="s">
        <v>114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8:33" s="17" customFormat="1" x14ac:dyDescent="0.35">
      <c r="H55" s="19"/>
      <c r="I55" s="19"/>
      <c r="J55" s="48"/>
      <c r="K55" s="19"/>
      <c r="L55" s="19" t="str">
        <f>IF(H10="lakás","0 - 40","0 - 80")</f>
        <v>0 - 80</v>
      </c>
      <c r="M55" s="19" t="s">
        <v>126</v>
      </c>
      <c r="N55" s="19" t="s">
        <v>121</v>
      </c>
      <c r="O55" s="19" t="s">
        <v>116</v>
      </c>
      <c r="P55" s="19" t="s">
        <v>124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8:33" s="17" customFormat="1" x14ac:dyDescent="0.35">
      <c r="H56" s="19"/>
      <c r="I56" s="19"/>
      <c r="J56" s="48"/>
      <c r="K56" s="19"/>
      <c r="L56" s="19" t="str">
        <f>IF(H10="lakás","41 - 120","81 - 120")</f>
        <v>81 - 120</v>
      </c>
      <c r="M56" s="19" t="s">
        <v>112</v>
      </c>
      <c r="N56" s="19" t="s">
        <v>123</v>
      </c>
      <c r="O56" s="19" t="s">
        <v>117</v>
      </c>
      <c r="P56" s="19" t="s">
        <v>127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8:33" s="17" customFormat="1" x14ac:dyDescent="0.35">
      <c r="H57" s="19"/>
      <c r="I57" s="19"/>
      <c r="J57" s="48"/>
      <c r="K57" s="19"/>
      <c r="L57" s="19" t="s">
        <v>94</v>
      </c>
      <c r="M57" s="19" t="s">
        <v>116</v>
      </c>
      <c r="N57" s="19" t="s">
        <v>124</v>
      </c>
      <c r="O57" s="19" t="s">
        <v>118</v>
      </c>
      <c r="P57" s="19" t="s">
        <v>128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8:33" s="17" customFormat="1" x14ac:dyDescent="0.35">
      <c r="H58" s="19"/>
      <c r="I58" s="19"/>
      <c r="J58" s="48"/>
      <c r="K58" s="19"/>
      <c r="L58" s="19" t="s">
        <v>95</v>
      </c>
      <c r="M58" s="19" t="s">
        <v>117</v>
      </c>
      <c r="N58" s="19" t="s">
        <v>127</v>
      </c>
      <c r="O58" s="19" t="s">
        <v>122</v>
      </c>
      <c r="P58" s="19" t="s">
        <v>129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8:33" s="17" customFormat="1" x14ac:dyDescent="0.35">
      <c r="H59" s="19"/>
      <c r="I59" s="19"/>
      <c r="J59" s="48"/>
      <c r="K59" s="19"/>
      <c r="L59" s="19" t="s">
        <v>96</v>
      </c>
      <c r="M59" s="19" t="s">
        <v>118</v>
      </c>
      <c r="N59" s="19" t="s">
        <v>128</v>
      </c>
      <c r="O59" s="19" t="s">
        <v>125</v>
      </c>
      <c r="P59" s="19" t="s">
        <v>130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8:33" s="17" customFormat="1" x14ac:dyDescent="0.35">
      <c r="H60" s="19"/>
      <c r="I60" s="19"/>
      <c r="J60" s="48"/>
      <c r="K60" s="19"/>
      <c r="L60" s="19"/>
      <c r="M60" s="19">
        <v>1</v>
      </c>
      <c r="N60" s="19">
        <v>2</v>
      </c>
      <c r="O60" s="19">
        <v>3</v>
      </c>
      <c r="P60" s="19">
        <v>4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8:33" s="17" customFormat="1" x14ac:dyDescent="0.35">
      <c r="H61" s="19"/>
      <c r="I61" s="19"/>
      <c r="J61" s="19"/>
      <c r="K61" s="25" t="s">
        <v>115</v>
      </c>
      <c r="L61" s="19">
        <f>IF(H37="Budapesten",IF(H10="családi ház",3,2),IF(H10="lakás",4,5))</f>
        <v>5</v>
      </c>
      <c r="M61" s="19"/>
      <c r="N61" s="19"/>
      <c r="O61" s="19"/>
      <c r="P61" s="19"/>
      <c r="Q61" s="28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8:33" x14ac:dyDescent="0.35">
      <c r="K62" s="29"/>
      <c r="L62" s="29"/>
      <c r="M62" s="29"/>
      <c r="N62" s="29"/>
      <c r="O62" s="28"/>
      <c r="P62" s="28"/>
      <c r="Q62" s="28"/>
    </row>
  </sheetData>
  <sheetProtection algorithmName="SHA-512" hashValue="b4Ec7/iLTiLucL6bXZ2TJIE3eFeEoJGPbp3R3u1tpbxeXwxHOZspAdfP3Pueg5mTC4DCijDAi3oC1yqWJbcfAQ==" saltValue="4QQdoYEZWjs6n8Tfp+jP9A==" spinCount="100000" sheet="1" objects="1" scenarios="1" selectLockedCells="1"/>
  <mergeCells count="17">
    <mergeCell ref="F11:G12"/>
    <mergeCell ref="C36:L36"/>
    <mergeCell ref="B39:M39"/>
    <mergeCell ref="J11:M12"/>
    <mergeCell ref="D29:G30"/>
    <mergeCell ref="B2:N5"/>
    <mergeCell ref="C33:G34"/>
    <mergeCell ref="H33:K34"/>
    <mergeCell ref="C35:L35"/>
    <mergeCell ref="F27:G28"/>
    <mergeCell ref="C6:M9"/>
    <mergeCell ref="I25:M26"/>
    <mergeCell ref="I23:M24"/>
    <mergeCell ref="G23:G24"/>
    <mergeCell ref="F13:G14"/>
    <mergeCell ref="F15:G16"/>
    <mergeCell ref="G25:G26"/>
  </mergeCells>
  <dataValidations count="13">
    <dataValidation type="list" allowBlank="1" showInputMessage="1" showErrorMessage="1" sqref="H13" xr:uid="{00000000-0002-0000-0000-000000000000}">
      <formula1>$N$44:$N$47</formula1>
    </dataValidation>
    <dataValidation type="list" allowBlank="1" showInputMessage="1" showErrorMessage="1" sqref="H15" xr:uid="{00000000-0002-0000-0000-000001000000}">
      <formula1>$P$44:$P$51</formula1>
    </dataValidation>
    <dataValidation type="list" allowBlank="1" showInputMessage="1" showErrorMessage="1" sqref="H17" xr:uid="{00000000-0002-0000-0000-000002000000}">
      <formula1>$R$44:$R$49</formula1>
    </dataValidation>
    <dataValidation type="list" allowBlank="1" showInputMessage="1" showErrorMessage="1" sqref="H19" xr:uid="{00000000-0002-0000-0000-000003000000}">
      <formula1>$T$44:$T$50</formula1>
    </dataValidation>
    <dataValidation type="list" allowBlank="1" showInputMessage="1" showErrorMessage="1" sqref="H21" xr:uid="{00000000-0002-0000-0000-000004000000}">
      <formula1>$V$44:$V$49</formula1>
    </dataValidation>
    <dataValidation type="list" allowBlank="1" showInputMessage="1" showErrorMessage="1" sqref="H23" xr:uid="{00000000-0002-0000-0000-000005000000}">
      <formula1>$X$44:$X$48</formula1>
    </dataValidation>
    <dataValidation type="list" allowBlank="1" showInputMessage="1" showErrorMessage="1" sqref="H25" xr:uid="{00000000-0002-0000-0000-000006000000}">
      <formula1>$Z$44:$Z$47</formula1>
    </dataValidation>
    <dataValidation type="list" allowBlank="1" showInputMessage="1" showErrorMessage="1" sqref="H27" xr:uid="{00000000-0002-0000-0000-000007000000}">
      <formula1>$AB$44:$AB$52</formula1>
    </dataValidation>
    <dataValidation type="list" allowBlank="1" showInputMessage="1" showErrorMessage="1" sqref="H29" xr:uid="{00000000-0002-0000-0000-000008000000}">
      <formula1>$AD$44:$AD$51</formula1>
    </dataValidation>
    <dataValidation type="list" allowBlank="1" showInputMessage="1" showErrorMessage="1" sqref="H31" xr:uid="{00000000-0002-0000-0000-000009000000}">
      <formula1>$AF$44:$AF$47</formula1>
    </dataValidation>
    <dataValidation type="list" allowBlank="1" showInputMessage="1" showErrorMessage="1" sqref="H10" xr:uid="{00000000-0002-0000-0000-00000A000000}">
      <formula1>$K$44:$K$46</formula1>
    </dataValidation>
    <dataValidation type="list" allowBlank="1" showInputMessage="1" showErrorMessage="1" sqref="H11" xr:uid="{00000000-0002-0000-0000-00000B000000}">
      <formula1>$L$44:$L$49</formula1>
    </dataValidation>
    <dataValidation type="list" allowBlank="1" showInputMessage="1" showErrorMessage="1" sqref="H37" xr:uid="{00000000-0002-0000-0000-00000C000000}">
      <formula1>$K$50:$K$52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 Energy Group Kft</dc:creator>
  <cp:lastModifiedBy>Attila</cp:lastModifiedBy>
  <dcterms:created xsi:type="dcterms:W3CDTF">2016-07-09T08:43:48Z</dcterms:created>
  <dcterms:modified xsi:type="dcterms:W3CDTF">2022-07-27T17:55:59Z</dcterms:modified>
</cp:coreProperties>
</file>